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20" yWindow="150" windowWidth="12345" windowHeight="12360"/>
  </bookViews>
  <sheets>
    <sheet name="Cow Bid Price" sheetId="2" r:id="rId1"/>
    <sheet name="Module1" sheetId="3" state="veryHidden" r:id="rId2"/>
  </sheets>
  <definedNames>
    <definedName name="BID">'Cow Bid Price'!$A$2:$A$2</definedName>
    <definedName name="Main">#REF!</definedName>
    <definedName name="_xlnm.Print_Area" localSheetId="0">'Cow Bid Price'!$A$1:$I$63</definedName>
    <definedName name="PRINT1">'Cow Bid Price'!$A$1:$I$63</definedName>
  </definedNames>
  <calcPr calcId="145621"/>
</workbook>
</file>

<file path=xl/calcChain.xml><?xml version="1.0" encoding="utf-8"?>
<calcChain xmlns="http://schemas.openxmlformats.org/spreadsheetml/2006/main">
  <c r="D18" i="2" l="1"/>
  <c r="E18" i="2" s="1"/>
  <c r="F18" i="2" s="1"/>
  <c r="G18" i="2" s="1"/>
  <c r="H18" i="2" s="1"/>
  <c r="C9" i="2" l="1"/>
  <c r="D9" i="2" s="1"/>
  <c r="E9" i="2" s="1"/>
  <c r="F9" i="2" s="1"/>
  <c r="G9" i="2" s="1"/>
  <c r="H9" i="2" s="1"/>
  <c r="H10" i="2"/>
  <c r="G10" i="2"/>
  <c r="F10" i="2"/>
  <c r="E10" i="2"/>
  <c r="D10" i="2"/>
  <c r="C10" i="2"/>
  <c r="D24" i="2"/>
  <c r="A56" i="2" s="1"/>
  <c r="B30" i="2"/>
  <c r="B35" i="2"/>
  <c r="B46" i="2" s="1"/>
  <c r="B16" i="2"/>
  <c r="B20" i="2" s="1"/>
  <c r="B89" i="2"/>
  <c r="C89" i="2"/>
  <c r="D89" i="2"/>
  <c r="E89" i="2"/>
  <c r="F89" i="2"/>
  <c r="G89" i="2"/>
  <c r="H89" i="2"/>
  <c r="B14" i="2"/>
  <c r="B47" i="2" s="1"/>
  <c r="B51" i="2"/>
  <c r="C30" i="2"/>
  <c r="C35" i="2"/>
  <c r="C16" i="2"/>
  <c r="C20" i="2" s="1"/>
  <c r="C14" i="2"/>
  <c r="C47" i="2" s="1"/>
  <c r="D30" i="2"/>
  <c r="D35" i="2"/>
  <c r="D16" i="2"/>
  <c r="D20" i="2" s="1"/>
  <c r="D14" i="2"/>
  <c r="D47" i="2" s="1"/>
  <c r="E30" i="2"/>
  <c r="E35" i="2"/>
  <c r="E16" i="2"/>
  <c r="E20" i="2" s="1"/>
  <c r="E14" i="2"/>
  <c r="E47" i="2" s="1"/>
  <c r="F30" i="2"/>
  <c r="F35" i="2"/>
  <c r="F16" i="2"/>
  <c r="F20" i="2" s="1"/>
  <c r="F14" i="2"/>
  <c r="F47" i="2"/>
  <c r="G30" i="2"/>
  <c r="G35" i="2"/>
  <c r="G16" i="2"/>
  <c r="G20" i="2" s="1"/>
  <c r="G31" i="2"/>
  <c r="G14" i="2"/>
  <c r="G47" i="2" s="1"/>
  <c r="H30" i="2"/>
  <c r="H35" i="2"/>
  <c r="H16" i="2"/>
  <c r="H20" i="2" s="1"/>
  <c r="H31" i="2"/>
  <c r="H14" i="2"/>
  <c r="H47" i="2" s="1"/>
  <c r="H49" i="2" s="1"/>
  <c r="B10" i="2"/>
  <c r="C55" i="2"/>
  <c r="D55" i="2"/>
  <c r="E55" i="2"/>
  <c r="F55" i="2"/>
  <c r="G55" i="2"/>
  <c r="H55" i="2"/>
  <c r="F46" i="2" l="1"/>
  <c r="C46" i="2"/>
  <c r="H32" i="2"/>
  <c r="D37" i="2"/>
  <c r="D39" i="2" s="1"/>
  <c r="E46" i="2"/>
  <c r="C49" i="2"/>
  <c r="B49" i="2"/>
  <c r="I30" i="2"/>
  <c r="F49" i="2"/>
  <c r="H37" i="2"/>
  <c r="H38" i="2" s="1"/>
  <c r="G32" i="2"/>
  <c r="F37" i="2"/>
  <c r="F39" i="2" s="1"/>
  <c r="E49" i="2"/>
  <c r="D46" i="2"/>
  <c r="D49" i="2" s="1"/>
  <c r="F31" i="2"/>
  <c r="F32" i="2" s="1"/>
  <c r="D31" i="2"/>
  <c r="D32" i="2" s="1"/>
  <c r="B37" i="2"/>
  <c r="B38" i="2" s="1"/>
  <c r="G37" i="2"/>
  <c r="A92" i="2"/>
  <c r="E37" i="2"/>
  <c r="C37" i="2"/>
  <c r="E31" i="2"/>
  <c r="E32" i="2" s="1"/>
  <c r="C31" i="2"/>
  <c r="C32" i="2" s="1"/>
  <c r="B31" i="2"/>
  <c r="G46" i="2"/>
  <c r="G49" i="2" s="1"/>
  <c r="H39" i="2" l="1"/>
  <c r="H42" i="2" s="1"/>
  <c r="H44" i="2" s="1"/>
  <c r="H56" i="2" s="1"/>
  <c r="H92" i="2" s="1"/>
  <c r="F38" i="2"/>
  <c r="F42" i="2" s="1"/>
  <c r="F44" i="2" s="1"/>
  <c r="F56" i="2" s="1"/>
  <c r="F92" i="2" s="1"/>
  <c r="D38" i="2"/>
  <c r="D42" i="2" s="1"/>
  <c r="D44" i="2" s="1"/>
  <c r="D56" i="2" s="1"/>
  <c r="D92" i="2" s="1"/>
  <c r="B39" i="2"/>
  <c r="B42" i="2" s="1"/>
  <c r="B32" i="2"/>
  <c r="I31" i="2"/>
  <c r="C38" i="2"/>
  <c r="C39" i="2"/>
  <c r="E38" i="2"/>
  <c r="E39" i="2"/>
  <c r="G38" i="2"/>
  <c r="G39" i="2"/>
  <c r="B44" i="2" l="1"/>
  <c r="B56" i="2" s="1"/>
  <c r="G42" i="2"/>
  <c r="G44" i="2" s="1"/>
  <c r="G56" i="2" s="1"/>
  <c r="G92" i="2" s="1"/>
  <c r="E42" i="2"/>
  <c r="E44" i="2" s="1"/>
  <c r="E56" i="2" s="1"/>
  <c r="E92" i="2" s="1"/>
  <c r="C42" i="2"/>
  <c r="C44" i="2" s="1"/>
  <c r="C56" i="2" s="1"/>
  <c r="C92" i="2" s="1"/>
  <c r="B92" i="2" l="1"/>
  <c r="I56" i="2" s="1"/>
  <c r="A59" i="2" s="1"/>
  <c r="A83" i="2"/>
  <c r="A84" i="2" s="1"/>
  <c r="A60" i="2" s="1"/>
  <c r="A82" i="2"/>
  <c r="A86" i="2"/>
  <c r="B86" i="2" l="1"/>
  <c r="A62" i="2" s="1"/>
  <c r="B82" i="2"/>
  <c r="A61" i="2" s="1"/>
</calcChain>
</file>

<file path=xl/sharedStrings.xml><?xml version="1.0" encoding="utf-8"?>
<sst xmlns="http://schemas.openxmlformats.org/spreadsheetml/2006/main" count="53" uniqueCount="50">
  <si>
    <t xml:space="preserve">                            Bid Price for Beef Cows Including Financing and Tax Implications</t>
  </si>
  <si>
    <t>Steer Weight (Pounds)</t>
  </si>
  <si>
    <t>Cull Cow Sale Weight (Pounds)</t>
  </si>
  <si>
    <t>Lb.</t>
  </si>
  <si>
    <t>Heifer Weight (Pounds)</t>
  </si>
  <si>
    <t>Marginal Income Tax Rate</t>
  </si>
  <si>
    <t>%</t>
  </si>
  <si>
    <t>Cow Price ($/Head)</t>
  </si>
  <si>
    <t>Capital Gains Tax Rate</t>
  </si>
  <si>
    <t xml:space="preserve">Expected Number of </t>
  </si>
  <si>
    <t>Self Employment Tax Rate</t>
  </si>
  <si>
    <t>Calving Opportunities</t>
  </si>
  <si>
    <t>Discount Rate</t>
  </si>
  <si>
    <t>Calf Crop or Weaning %</t>
  </si>
  <si>
    <t>Steers Price ($/Cwt)</t>
  </si>
  <si>
    <t>Heifer Price ($/Cwt)</t>
  </si>
  <si>
    <t>Cull Cow Price ($/Cwt)</t>
  </si>
  <si>
    <t>Gross Receipts (Calf Sales)</t>
  </si>
  <si>
    <t>Cow Operating Cost/Year</t>
  </si>
  <si>
    <t>Net Above Operating Cost</t>
  </si>
  <si>
    <t>Financial Information</t>
  </si>
  <si>
    <t>Equity Requirement (%)</t>
  </si>
  <si>
    <t>Equals</t>
  </si>
  <si>
    <t>Per Head</t>
  </si>
  <si>
    <t>Length of Note (Years)</t>
  </si>
  <si>
    <t>Interest Rate (%)</t>
  </si>
  <si>
    <t>Totals</t>
  </si>
  <si>
    <t>Interest Payment</t>
  </si>
  <si>
    <t>Principal Payment</t>
  </si>
  <si>
    <t>Debt Service Requirement</t>
  </si>
  <si>
    <t>Depreciation %</t>
  </si>
  <si>
    <t>Depreciation Expense</t>
  </si>
  <si>
    <t>Taxable Income</t>
  </si>
  <si>
    <t>Income Taxes</t>
  </si>
  <si>
    <t>Self Employment Taxes</t>
  </si>
  <si>
    <t>Cash Flow Available</t>
  </si>
  <si>
    <t>for Debt Service</t>
  </si>
  <si>
    <t>Net Cash Flow</t>
  </si>
  <si>
    <t>Tax Basis in Cow</t>
  </si>
  <si>
    <t xml:space="preserve">Cow Salvage Value </t>
  </si>
  <si>
    <t>Salvage Value (After Tax)</t>
  </si>
  <si>
    <t>Tax Adjusted Discount Rate</t>
  </si>
  <si>
    <t>Cash Flows</t>
  </si>
  <si>
    <t>Net Present</t>
  </si>
  <si>
    <t>Year 0</t>
  </si>
  <si>
    <t>Year 1</t>
  </si>
  <si>
    <t>Value</t>
  </si>
  <si>
    <t>Comments regarding this investment scenario.</t>
  </si>
  <si>
    <t>Analysis Section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</si>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</sst>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7" formatCode="&quot;$&quot;#,##0.00_);\(&quot;$&quot;#,##0.00\)"/>
  </numFmts>
  <fonts count="10" x14ac:knownFonts="1">
    <font>
      <sz val="12"/>
      <name val="Arial"/>
    </font>
    <font>
      <b/>
      <sz val="12"/>
      <color indexed="8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2" borderId="0"/>
  </cellStyleXfs>
  <cellXfs count="36">
    <xf numFmtId="0" fontId="0" fillId="2" borderId="0" xfId="0" applyNumberFormat="1"/>
    <xf numFmtId="2" fontId="0" fillId="2" borderId="0" xfId="0" applyNumberFormat="1"/>
    <xf numFmtId="10" fontId="0" fillId="2" borderId="0" xfId="0" applyNumberFormat="1"/>
    <xf numFmtId="5" fontId="0" fillId="2" borderId="0" xfId="0" applyNumberFormat="1"/>
    <xf numFmtId="7" fontId="0" fillId="2" borderId="0" xfId="0" applyNumberFormat="1"/>
    <xf numFmtId="0" fontId="0" fillId="2" borderId="0" xfId="0" applyNumberFormat="1" applyAlignment="1">
      <alignment horizontal="center"/>
    </xf>
    <xf numFmtId="0" fontId="1" fillId="2" borderId="0" xfId="0" applyNumberFormat="1" applyFont="1" applyAlignment="1">
      <alignment horizontal="center"/>
    </xf>
    <xf numFmtId="0" fontId="0" fillId="2" borderId="1" xfId="0" applyNumberFormat="1" applyBorder="1"/>
    <xf numFmtId="0" fontId="1" fillId="2" borderId="0" xfId="0" applyNumberFormat="1" applyFont="1"/>
    <xf numFmtId="0" fontId="1" fillId="2" borderId="1" xfId="0" applyNumberFormat="1" applyFont="1" applyBorder="1" applyAlignment="1">
      <alignment horizontal="center"/>
    </xf>
    <xf numFmtId="0" fontId="1" fillId="2" borderId="2" xfId="0" applyNumberFormat="1" applyFont="1" applyBorder="1" applyAlignment="1">
      <alignment horizontal="center"/>
    </xf>
    <xf numFmtId="0" fontId="1" fillId="2" borderId="1" xfId="0" applyNumberFormat="1" applyFont="1" applyBorder="1"/>
    <xf numFmtId="7" fontId="0" fillId="2" borderId="1" xfId="0" applyNumberFormat="1" applyBorder="1"/>
    <xf numFmtId="7" fontId="1" fillId="2" borderId="0" xfId="0" applyNumberFormat="1" applyFont="1"/>
    <xf numFmtId="0" fontId="1" fillId="2" borderId="2" xfId="0" applyNumberFormat="1" applyFont="1" applyBorder="1"/>
    <xf numFmtId="7" fontId="1" fillId="2" borderId="1" xfId="0" applyNumberFormat="1" applyFont="1" applyBorder="1"/>
    <xf numFmtId="0" fontId="0" fillId="2" borderId="2" xfId="0" applyNumberFormat="1" applyBorder="1"/>
    <xf numFmtId="0" fontId="1" fillId="2" borderId="1" xfId="0" applyNumberFormat="1" applyFont="1" applyBorder="1" applyAlignment="1">
      <alignment horizontal="right"/>
    </xf>
    <xf numFmtId="0" fontId="1" fillId="2" borderId="0" xfId="0" applyNumberFormat="1" applyFont="1" applyAlignment="1">
      <alignment horizontal="right"/>
    </xf>
    <xf numFmtId="2" fontId="2" fillId="2" borderId="4" xfId="0" applyNumberFormat="1" applyFont="1" applyFill="1" applyBorder="1" applyProtection="1">
      <protection locked="0"/>
    </xf>
    <xf numFmtId="37" fontId="2" fillId="2" borderId="4" xfId="0" applyNumberFormat="1" applyFont="1" applyFill="1" applyBorder="1" applyProtection="1">
      <protection locked="0"/>
    </xf>
    <xf numFmtId="0" fontId="2" fillId="2" borderId="4" xfId="0" applyNumberFormat="1" applyFont="1" applyFill="1" applyBorder="1" applyProtection="1">
      <protection locked="0"/>
    </xf>
    <xf numFmtId="7" fontId="3" fillId="2" borderId="0" xfId="0" applyNumberFormat="1" applyFont="1" applyFill="1"/>
    <xf numFmtId="1" fontId="2" fillId="2" borderId="5" xfId="0" applyNumberFormat="1" applyFont="1" applyFill="1" applyBorder="1" applyProtection="1">
      <protection locked="0"/>
    </xf>
    <xf numFmtId="0" fontId="4" fillId="2" borderId="0" xfId="0" applyNumberFormat="1" applyFont="1"/>
    <xf numFmtId="0" fontId="5" fillId="2" borderId="6" xfId="0" applyNumberFormat="1" applyFont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6" fillId="2" borderId="0" xfId="0" applyFont="1"/>
    <xf numFmtId="5" fontId="7" fillId="2" borderId="4" xfId="0" applyNumberFormat="1" applyFont="1" applyFill="1" applyBorder="1" applyProtection="1">
      <protection locked="0"/>
    </xf>
    <xf numFmtId="5" fontId="8" fillId="2" borderId="4" xfId="0" applyNumberFormat="1" applyFont="1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right"/>
      <protection locked="0"/>
    </xf>
    <xf numFmtId="4" fontId="7" fillId="2" borderId="4" xfId="0" applyNumberFormat="1" applyFont="1" applyFill="1" applyBorder="1" applyProtection="1">
      <protection locked="0"/>
    </xf>
    <xf numFmtId="5" fontId="2" fillId="2" borderId="3" xfId="0" applyNumberFormat="1" applyFont="1" applyFill="1" applyBorder="1" applyProtection="1"/>
    <xf numFmtId="0" fontId="7" fillId="2" borderId="0" xfId="0" applyFont="1" applyProtection="1">
      <protection locked="0"/>
    </xf>
    <xf numFmtId="7" fontId="9" fillId="2" borderId="0" xfId="0" applyNumberFormat="1" applyFont="1"/>
    <xf numFmtId="1" fontId="7" fillId="2" borderId="4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2"/>
  <sheetViews>
    <sheetView showGridLines="0" tabSelected="1" showOutlineSymbols="0" zoomScale="84" workbookViewId="0">
      <selection activeCell="B18" sqref="B18"/>
    </sheetView>
  </sheetViews>
  <sheetFormatPr defaultColWidth="11.44140625" defaultRowHeight="15" x14ac:dyDescent="0.2"/>
  <cols>
    <col min="1" max="1" width="25.6640625" customWidth="1"/>
    <col min="2" max="8" width="8.77734375" customWidth="1"/>
    <col min="9" max="9" width="10.88671875" customWidth="1"/>
  </cols>
  <sheetData>
    <row r="1" spans="1:11" ht="15.75" x14ac:dyDescent="0.25">
      <c r="A1" s="8" t="s">
        <v>0</v>
      </c>
      <c r="I1" s="6"/>
    </row>
    <row r="2" spans="1:11" ht="15.75" x14ac:dyDescent="0.25">
      <c r="A2" s="8"/>
      <c r="H2" s="24"/>
    </row>
    <row r="3" spans="1:11" ht="15.75" x14ac:dyDescent="0.25">
      <c r="A3" s="8"/>
    </row>
    <row r="4" spans="1:11" ht="15.75" x14ac:dyDescent="0.25">
      <c r="A4" s="8" t="s">
        <v>1</v>
      </c>
      <c r="B4" s="21">
        <v>524</v>
      </c>
      <c r="D4" s="8" t="s">
        <v>2</v>
      </c>
      <c r="H4" s="20">
        <v>1075</v>
      </c>
      <c r="I4" t="s">
        <v>3</v>
      </c>
    </row>
    <row r="5" spans="1:11" ht="15.75" x14ac:dyDescent="0.25">
      <c r="A5" s="8" t="s">
        <v>4</v>
      </c>
      <c r="B5" s="21">
        <v>509</v>
      </c>
      <c r="D5" s="8" t="s">
        <v>5</v>
      </c>
      <c r="H5" s="19">
        <v>0</v>
      </c>
      <c r="I5" t="s">
        <v>6</v>
      </c>
    </row>
    <row r="6" spans="1:11" ht="15.75" x14ac:dyDescent="0.25">
      <c r="A6" s="8" t="s">
        <v>7</v>
      </c>
      <c r="B6" s="29">
        <v>1918.44</v>
      </c>
      <c r="D6" s="8" t="s">
        <v>8</v>
      </c>
      <c r="H6" s="19">
        <v>0</v>
      </c>
      <c r="I6" t="s">
        <v>6</v>
      </c>
    </row>
    <row r="7" spans="1:11" ht="15.75" x14ac:dyDescent="0.25">
      <c r="A7" s="8" t="s">
        <v>9</v>
      </c>
      <c r="B7" s="32"/>
      <c r="D7" s="8" t="s">
        <v>10</v>
      </c>
      <c r="H7" s="19">
        <v>0</v>
      </c>
      <c r="I7" t="s">
        <v>6</v>
      </c>
    </row>
    <row r="8" spans="1:11" ht="15.75" x14ac:dyDescent="0.25">
      <c r="A8" s="8" t="s">
        <v>11</v>
      </c>
      <c r="B8" s="23">
        <v>7</v>
      </c>
      <c r="D8" s="8" t="s">
        <v>12</v>
      </c>
      <c r="H8" s="26">
        <v>3</v>
      </c>
      <c r="I8" t="s">
        <v>6</v>
      </c>
    </row>
    <row r="9" spans="1:11" ht="15.75" x14ac:dyDescent="0.25">
      <c r="A9" s="24" t="s">
        <v>49</v>
      </c>
      <c r="B9" s="25">
        <v>2013</v>
      </c>
      <c r="C9" s="10">
        <f>IF(B$8&gt;=2,(B9+1),"")</f>
        <v>2014</v>
      </c>
      <c r="D9" s="10">
        <f>IF(B$8&gt;=3,C9+1,"")</f>
        <v>2015</v>
      </c>
      <c r="E9" s="10">
        <f>IF(B$8&gt;=4,D9+1,"")</f>
        <v>2016</v>
      </c>
      <c r="F9" s="10">
        <f>IF(B$8&gt;=5,E9+1,"")</f>
        <v>2017</v>
      </c>
      <c r="G9" s="10">
        <f>IF(B$8&gt;=6,F9+1,"")</f>
        <v>2018</v>
      </c>
      <c r="H9" s="10">
        <f>IF(B$8&gt;=7,G9+1,"")</f>
        <v>2019</v>
      </c>
    </row>
    <row r="10" spans="1:11" ht="15.75" x14ac:dyDescent="0.25">
      <c r="A10" s="18"/>
      <c r="B10" s="10" t="str">
        <f>IF(B8&gt;=1,"Year 1","")</f>
        <v>Year 1</v>
      </c>
      <c r="C10" s="10" t="str">
        <f>IF(B$8&gt;=2,"Year 2","")</f>
        <v>Year 2</v>
      </c>
      <c r="D10" s="10" t="str">
        <f>IF(B$8&gt;=3,"Year 3","")</f>
        <v>Year 3</v>
      </c>
      <c r="E10" s="10" t="str">
        <f>IF(B$8&gt;=4,"Year 4","")</f>
        <v>Year 4</v>
      </c>
      <c r="F10" s="10" t="str">
        <f>IF(B$8&gt;=5,"Year 5","")</f>
        <v>Year 5</v>
      </c>
      <c r="G10" s="10" t="str">
        <f>IF(B$8&gt;=6,"Year 6","")</f>
        <v>Year 6</v>
      </c>
      <c r="H10" s="10" t="str">
        <f>IF(B$8&gt;=7,"Year 7","")</f>
        <v>Year 7</v>
      </c>
    </row>
    <row r="11" spans="1:11" ht="15.75" x14ac:dyDescent="0.25">
      <c r="A11" s="8" t="s">
        <v>13</v>
      </c>
      <c r="B11" s="30">
        <v>93.9</v>
      </c>
      <c r="C11" s="30">
        <v>83.7</v>
      </c>
      <c r="D11" s="30">
        <v>83.7</v>
      </c>
      <c r="E11" s="30">
        <v>83.7</v>
      </c>
      <c r="F11" s="30">
        <v>83.7</v>
      </c>
      <c r="G11" s="30">
        <v>83.7</v>
      </c>
      <c r="H11" s="30">
        <v>83.7</v>
      </c>
    </row>
    <row r="12" spans="1:11" ht="15.75" x14ac:dyDescent="0.25">
      <c r="A12" s="8" t="s">
        <v>14</v>
      </c>
      <c r="B12" s="33">
        <v>165.09</v>
      </c>
      <c r="C12" s="33">
        <v>173.47</v>
      </c>
      <c r="D12" s="33">
        <v>166.68</v>
      </c>
      <c r="E12" s="33">
        <v>159.52000000000001</v>
      </c>
      <c r="F12" s="33">
        <v>155.15</v>
      </c>
      <c r="G12" s="33">
        <v>156.5</v>
      </c>
      <c r="H12" s="33">
        <v>162</v>
      </c>
      <c r="I12" s="27"/>
      <c r="J12" s="27"/>
      <c r="K12" s="27"/>
    </row>
    <row r="13" spans="1:11" ht="15.75" x14ac:dyDescent="0.25">
      <c r="A13" s="8" t="s">
        <v>15</v>
      </c>
      <c r="B13" s="31">
        <v>165.09</v>
      </c>
      <c r="C13" s="31">
        <v>173.47</v>
      </c>
      <c r="D13" s="31">
        <v>166.68</v>
      </c>
      <c r="E13" s="31">
        <v>159.52000000000001</v>
      </c>
      <c r="F13" s="31">
        <v>155.15</v>
      </c>
      <c r="G13" s="31">
        <v>156.5</v>
      </c>
      <c r="H13" s="31">
        <v>162</v>
      </c>
    </row>
    <row r="14" spans="1:11" ht="15.75" x14ac:dyDescent="0.25">
      <c r="A14" s="8" t="s">
        <v>16</v>
      </c>
      <c r="B14" s="22">
        <f t="shared" ref="B14:H14" si="0">ROUND(7+(B12*0.47),2)</f>
        <v>84.59</v>
      </c>
      <c r="C14" s="22">
        <f t="shared" si="0"/>
        <v>88.53</v>
      </c>
      <c r="D14" s="22">
        <f t="shared" si="0"/>
        <v>85.34</v>
      </c>
      <c r="E14" s="22">
        <f t="shared" si="0"/>
        <v>81.97</v>
      </c>
      <c r="F14" s="22">
        <f t="shared" si="0"/>
        <v>79.92</v>
      </c>
      <c r="G14" s="22">
        <f t="shared" si="0"/>
        <v>80.56</v>
      </c>
      <c r="H14" s="22">
        <f t="shared" si="0"/>
        <v>83.14</v>
      </c>
    </row>
    <row r="16" spans="1:11" ht="15.75" x14ac:dyDescent="0.25">
      <c r="A16" s="8" t="s">
        <v>17</v>
      </c>
      <c r="B16" s="3">
        <f t="shared" ref="B16:H16" si="1">IF(AND($B$8&gt;0,B$11&gt;0),ROUND(((($B$4*B12)+($B$5*B13))/100)/2*B$11*0.01,0),0)</f>
        <v>801</v>
      </c>
      <c r="C16" s="3">
        <f t="shared" si="1"/>
        <v>750</v>
      </c>
      <c r="D16" s="3">
        <f t="shared" si="1"/>
        <v>721</v>
      </c>
      <c r="E16" s="3">
        <f t="shared" si="1"/>
        <v>690</v>
      </c>
      <c r="F16" s="3">
        <f t="shared" si="1"/>
        <v>671</v>
      </c>
      <c r="G16" s="3">
        <f t="shared" si="1"/>
        <v>677</v>
      </c>
      <c r="H16" s="3">
        <f t="shared" si="1"/>
        <v>700</v>
      </c>
    </row>
    <row r="18" spans="1:9" ht="15.75" x14ac:dyDescent="0.25">
      <c r="A18" s="8" t="s">
        <v>18</v>
      </c>
      <c r="B18" s="35">
        <v>396.54</v>
      </c>
      <c r="C18" s="28">
        <v>594.78</v>
      </c>
      <c r="D18" s="28">
        <f>C18*1.01</f>
        <v>600.7278</v>
      </c>
      <c r="E18" s="28">
        <f>D18*1.01</f>
        <v>606.73507800000004</v>
      </c>
      <c r="F18" s="28">
        <f>E18*1.01</f>
        <v>612.80242878000001</v>
      </c>
      <c r="G18" s="28">
        <f>(F18*1.01)-125</f>
        <v>493.93045306780004</v>
      </c>
      <c r="H18" s="28">
        <f>(G18*1.01)-125</f>
        <v>373.86975759847803</v>
      </c>
    </row>
    <row r="20" spans="1:9" ht="15.75" x14ac:dyDescent="0.25">
      <c r="A20" s="8" t="s">
        <v>19</v>
      </c>
      <c r="B20" s="3">
        <f>IF(B8&gt;=1,+B16-B18,0)</f>
        <v>404.46</v>
      </c>
      <c r="C20" s="3">
        <f>IF(B8&gt;=2,+C16-C18,0)</f>
        <v>155.22000000000003</v>
      </c>
      <c r="D20" s="3">
        <f>IF(B8&gt;=3,+D16-D18,0)</f>
        <v>120.2722</v>
      </c>
      <c r="E20" s="3">
        <f>IF(B8&gt;=4,+E16-E18,0)</f>
        <v>83.264921999999956</v>
      </c>
      <c r="F20" s="3">
        <f>IF(B8&gt;=5,+F16-F18,0)</f>
        <v>58.197571219999986</v>
      </c>
      <c r="G20" s="3">
        <f>IF(B8&gt;=6,+G16-G18,0)</f>
        <v>183.06954693219996</v>
      </c>
      <c r="H20" s="3">
        <f>IF(B8&gt;=7,+H16-H18,0)</f>
        <v>326.13024240152197</v>
      </c>
    </row>
    <row r="22" spans="1:9" ht="15.75" x14ac:dyDescent="0.25">
      <c r="A22" s="14" t="s">
        <v>20</v>
      </c>
      <c r="B22" s="16"/>
      <c r="C22" s="16"/>
      <c r="D22" s="16"/>
      <c r="E22" s="16"/>
      <c r="F22" s="16"/>
      <c r="G22" s="16"/>
      <c r="H22" s="16"/>
      <c r="I22" s="16"/>
    </row>
    <row r="24" spans="1:9" ht="15.75" x14ac:dyDescent="0.25">
      <c r="A24" s="8" t="s">
        <v>21</v>
      </c>
      <c r="B24" s="19">
        <v>0</v>
      </c>
      <c r="C24" s="5" t="s">
        <v>22</v>
      </c>
      <c r="D24" s="13">
        <f>ROUND(B24*B6*0.01,2)</f>
        <v>0</v>
      </c>
      <c r="E24" t="s">
        <v>23</v>
      </c>
    </row>
    <row r="26" spans="1:9" ht="15.75" x14ac:dyDescent="0.25">
      <c r="A26" s="8" t="s">
        <v>24</v>
      </c>
      <c r="B26" s="21">
        <v>0</v>
      </c>
    </row>
    <row r="28" spans="1:9" ht="15.75" x14ac:dyDescent="0.25">
      <c r="A28" s="8" t="s">
        <v>25</v>
      </c>
      <c r="B28" s="19">
        <v>0</v>
      </c>
    </row>
    <row r="29" spans="1:9" ht="15.75" x14ac:dyDescent="0.25">
      <c r="I29" s="10" t="s">
        <v>26</v>
      </c>
    </row>
    <row r="30" spans="1:9" ht="15.75" x14ac:dyDescent="0.25">
      <c r="A30" s="8" t="s">
        <v>27</v>
      </c>
      <c r="B30" s="4">
        <f>IF(B8&lt;1,0,IF(B26&gt;=1,ROUND(IPMT(B28*0.01,1,B26,-(((1-B24*0.01)*B6))),2),0))</f>
        <v>0</v>
      </c>
      <c r="C30" s="4">
        <f>IF(B8&lt;2,0,IF(B26&gt;=2,ROUND(IPMT(B28*0.01,2,B26,-(((1-B24*0.01)*B6))),2),0))</f>
        <v>0</v>
      </c>
      <c r="D30" s="4">
        <f>IF(B8&lt;3,0,IF(B26&gt;=3,ROUND(IPMT(B28*0.01,3,B26,-(((1-B24*0.01)*B6))),2),0))</f>
        <v>0</v>
      </c>
      <c r="E30" s="4">
        <f>IF(B8&lt;4,0,IF(B26&gt;=4,ROUND(IPMT(B28*0.01,4,B26,-(((1-B24*0.01)*B6))),2),0))</f>
        <v>0</v>
      </c>
      <c r="F30" s="4">
        <f>IF(B8&lt;5,0,IF(B26&gt;=5,ROUND(IPMT(B28*0.01,5,B26,-(((1-B24*0.01)*B6))),2),0))</f>
        <v>0</v>
      </c>
      <c r="G30" s="4">
        <f>IF(B8&lt;6,0,IF(B26&gt;=6,ROUND(IPMT(B28*0.01,6,B26,-(((1-B24*0.01)*B6))),2),0))</f>
        <v>0</v>
      </c>
      <c r="H30" s="4">
        <f>IF(B8&lt;0,0,IF(B26&gt;=7,ROUND(IPMT(B28*0.01,7,B26,-(((1-B24*0.01)*B6))),2),0))</f>
        <v>0</v>
      </c>
      <c r="I30" s="13">
        <f>SUM(B30:H30)</f>
        <v>0</v>
      </c>
    </row>
    <row r="31" spans="1:9" ht="15.75" x14ac:dyDescent="0.25">
      <c r="A31" s="11" t="s">
        <v>28</v>
      </c>
      <c r="B31" s="12">
        <f>IF(B8=1,SUM(B89:H89),IF(B8&gt;1,+B89,0))</f>
        <v>0</v>
      </c>
      <c r="C31" s="12">
        <f>IF(B8=2,SUM(C89:H89),IF(B8&gt;2,+C89,0))</f>
        <v>0</v>
      </c>
      <c r="D31" s="12">
        <f>IF(B8=3,SUM(D89:H89),IF(B8&gt;3,+D89,0))</f>
        <v>0</v>
      </c>
      <c r="E31" s="12">
        <f>IF(B8=4,SUM(E89:H89),IF(B8&gt;4,+E89,0))</f>
        <v>0</v>
      </c>
      <c r="F31" s="12">
        <f>IF(B8=5,SUM(F89:H89),IF(B8&gt;5,+F89,0))</f>
        <v>0</v>
      </c>
      <c r="G31" s="12">
        <f>IF(B8=6,SUM(G89:H89),IF(B8&gt;6,+G89,0))</f>
        <v>0</v>
      </c>
      <c r="H31" s="12">
        <f>H89</f>
        <v>0</v>
      </c>
      <c r="I31" s="15">
        <f>SUM(B31:H31)</f>
        <v>0</v>
      </c>
    </row>
    <row r="32" spans="1:9" ht="15.75" x14ac:dyDescent="0.25">
      <c r="A32" s="8" t="s">
        <v>29</v>
      </c>
      <c r="B32" s="4">
        <f>IF(B8&gt;=1,+B30+B31,0)</f>
        <v>0</v>
      </c>
      <c r="C32" s="4">
        <f>IF(B8&gt;=2,+C30+C31,0)</f>
        <v>0</v>
      </c>
      <c r="D32" s="4">
        <f>IF(B8&gt;=3,+D30+D31,0)</f>
        <v>0</v>
      </c>
      <c r="E32" s="4">
        <f>IF(B8&gt;=4,+E30+E31,0)</f>
        <v>0</v>
      </c>
      <c r="F32" s="4">
        <f>IF(B8&gt;=5,+F30+F31,0)</f>
        <v>0</v>
      </c>
      <c r="G32" s="4">
        <f>IF(B8&gt;=7,+G30+G31,0)</f>
        <v>0</v>
      </c>
      <c r="H32" s="4">
        <f>IF(B8&gt;=7,+H30+H31,0)</f>
        <v>0</v>
      </c>
    </row>
    <row r="33" spans="1:8" ht="15.75" x14ac:dyDescent="0.25">
      <c r="A33" s="8"/>
    </row>
    <row r="34" spans="1:8" ht="15.75" x14ac:dyDescent="0.25">
      <c r="A34" s="8" t="s">
        <v>30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</row>
    <row r="35" spans="1:8" ht="15.75" x14ac:dyDescent="0.25">
      <c r="A35" s="8" t="s">
        <v>31</v>
      </c>
      <c r="B35" s="4">
        <f>IF(B8&gt;=1,ROUND(+$B$6*B34*0.01,2),0)</f>
        <v>0</v>
      </c>
      <c r="C35" s="4">
        <f>IF(B8&gt;=2,ROUND(+$B$6*C34*0.01,2),0)</f>
        <v>0</v>
      </c>
      <c r="D35" s="4">
        <f>IF(B8&gt;=3,ROUND(+$B$6*D34*0.01,2),0)</f>
        <v>0</v>
      </c>
      <c r="E35" s="4">
        <f>IF(B8&gt;=4,ROUND(+$B$6*E34*0.01,2),0)</f>
        <v>0</v>
      </c>
      <c r="F35" s="4">
        <f>IF(B8&gt;=5,ROUND(+$B$6*F34*0.01,2),0)</f>
        <v>0</v>
      </c>
      <c r="G35" s="4">
        <f>IF(B8&gt;=6,ROUND(+$B$6*G34*0.01,2),0)</f>
        <v>0</v>
      </c>
      <c r="H35" s="4">
        <f>IF(B8&gt;=7,ROUND(+$B$6*H34*0.01,2),0)</f>
        <v>0</v>
      </c>
    </row>
    <row r="36" spans="1:8" ht="15.75" x14ac:dyDescent="0.25">
      <c r="A36" s="8"/>
      <c r="B36" s="2"/>
      <c r="C36" s="2"/>
      <c r="D36" s="2"/>
      <c r="E36" s="2"/>
      <c r="F36" s="2"/>
      <c r="G36" s="2"/>
    </row>
    <row r="37" spans="1:8" ht="15.75" x14ac:dyDescent="0.25">
      <c r="A37" s="8" t="s">
        <v>32</v>
      </c>
      <c r="B37" s="4">
        <f t="shared" ref="B37:H37" si="2">ROUND(+B20-B30-B35,2)</f>
        <v>404.46</v>
      </c>
      <c r="C37" s="4">
        <f t="shared" si="2"/>
        <v>155.22</v>
      </c>
      <c r="D37" s="4">
        <f t="shared" si="2"/>
        <v>120.27</v>
      </c>
      <c r="E37" s="4">
        <f t="shared" si="2"/>
        <v>83.26</v>
      </c>
      <c r="F37" s="4">
        <f t="shared" si="2"/>
        <v>58.2</v>
      </c>
      <c r="G37" s="4">
        <f t="shared" si="2"/>
        <v>183.07</v>
      </c>
      <c r="H37" s="4">
        <f t="shared" si="2"/>
        <v>326.13</v>
      </c>
    </row>
    <row r="38" spans="1:8" ht="15.75" x14ac:dyDescent="0.25">
      <c r="A38" s="8" t="s">
        <v>33</v>
      </c>
      <c r="B38" s="4">
        <f t="shared" ref="B38:H38" si="3">ROUND(+B37*$H$5*0.01,2)</f>
        <v>0</v>
      </c>
      <c r="C38" s="4">
        <f t="shared" si="3"/>
        <v>0</v>
      </c>
      <c r="D38" s="4">
        <f t="shared" si="3"/>
        <v>0</v>
      </c>
      <c r="E38" s="4">
        <f t="shared" si="3"/>
        <v>0</v>
      </c>
      <c r="F38" s="4">
        <f t="shared" si="3"/>
        <v>0</v>
      </c>
      <c r="G38" s="4">
        <f t="shared" si="3"/>
        <v>0</v>
      </c>
      <c r="H38" s="4">
        <f t="shared" si="3"/>
        <v>0</v>
      </c>
    </row>
    <row r="39" spans="1:8" ht="15.75" x14ac:dyDescent="0.25">
      <c r="A39" s="8" t="s">
        <v>34</v>
      </c>
      <c r="B39" s="4">
        <f>ROUND(IF(B37&gt;0,B37*$H$7*0.01,0),2)</f>
        <v>0</v>
      </c>
      <c r="C39" s="4">
        <f t="shared" ref="C39:H39" si="4">ROUND(IF(C37&gt;0,C37*$H$7*0.01,0),2)</f>
        <v>0</v>
      </c>
      <c r="D39" s="4">
        <f t="shared" si="4"/>
        <v>0</v>
      </c>
      <c r="E39" s="4">
        <f t="shared" si="4"/>
        <v>0</v>
      </c>
      <c r="F39" s="4">
        <f t="shared" si="4"/>
        <v>0</v>
      </c>
      <c r="G39" s="4">
        <f t="shared" si="4"/>
        <v>0</v>
      </c>
      <c r="H39" s="4">
        <f t="shared" si="4"/>
        <v>0</v>
      </c>
    </row>
    <row r="41" spans="1:8" ht="15.75" x14ac:dyDescent="0.25">
      <c r="A41" s="8" t="s">
        <v>35</v>
      </c>
    </row>
    <row r="42" spans="1:8" ht="15.75" x14ac:dyDescent="0.25">
      <c r="A42" s="8" t="s">
        <v>36</v>
      </c>
      <c r="B42" s="4">
        <f>IF(B8&gt;=1,+B20-B38-B39,0)</f>
        <v>404.46</v>
      </c>
      <c r="C42" s="4">
        <f>IF(B8&gt;=2,+C20-C38-C39,0)</f>
        <v>155.22000000000003</v>
      </c>
      <c r="D42" s="4">
        <f>IF(B8&gt;=3,+D20-D38-D39,0)</f>
        <v>120.2722</v>
      </c>
      <c r="E42" s="4">
        <f>IF(B8&gt;=4,+E20-E38-E39,0)</f>
        <v>83.264921999999956</v>
      </c>
      <c r="F42" s="4">
        <f>IF(B8&gt;=5,+F20-F38-F39,0)</f>
        <v>58.197571219999986</v>
      </c>
      <c r="G42" s="4">
        <f>IF(B8&gt;=6,+G20-G38-G39,0)</f>
        <v>183.06954693219996</v>
      </c>
      <c r="H42" s="4">
        <f>IF(B8&gt;=7,+H20-H38-H39,0)</f>
        <v>326.13024240152197</v>
      </c>
    </row>
    <row r="44" spans="1:8" ht="15.75" x14ac:dyDescent="0.25">
      <c r="A44" s="8" t="s">
        <v>37</v>
      </c>
      <c r="B44" s="4">
        <f t="shared" ref="B44:H44" si="5">B42-B32</f>
        <v>404.46</v>
      </c>
      <c r="C44" s="4">
        <f t="shared" si="5"/>
        <v>155.22000000000003</v>
      </c>
      <c r="D44" s="4">
        <f t="shared" si="5"/>
        <v>120.2722</v>
      </c>
      <c r="E44" s="4">
        <f t="shared" si="5"/>
        <v>83.264921999999956</v>
      </c>
      <c r="F44" s="4">
        <f t="shared" si="5"/>
        <v>58.197571219999986</v>
      </c>
      <c r="G44" s="4">
        <f t="shared" si="5"/>
        <v>183.06954693219996</v>
      </c>
      <c r="H44" s="4">
        <f t="shared" si="5"/>
        <v>326.13024240152197</v>
      </c>
    </row>
    <row r="46" spans="1:8" ht="15.75" x14ac:dyDescent="0.25">
      <c r="A46" s="8" t="s">
        <v>38</v>
      </c>
      <c r="B46" s="4">
        <f>IF(B8&gt;=1,+$B$6-B35,0)</f>
        <v>1918.44</v>
      </c>
      <c r="C46" s="4">
        <f>IF(B8&gt;=2,+B6-(B35+C35),0)</f>
        <v>1918.44</v>
      </c>
      <c r="D46" s="4">
        <f>IF(B8&gt;=3,+B6-(B35+C35+D35),0)</f>
        <v>1918.44</v>
      </c>
      <c r="E46" s="4">
        <f>IF(B8&gt;=4,+B6-(B35+C35+D35+E35),0)</f>
        <v>1918.44</v>
      </c>
      <c r="F46" s="4">
        <f>IF(B8&gt;=5,+B6-SUM(B35:F35),0)</f>
        <v>1918.44</v>
      </c>
      <c r="G46" s="4">
        <f>IF(B8&gt;=6,+B6-SUM(B35:G35),0)</f>
        <v>1918.44</v>
      </c>
      <c r="H46" s="4">
        <v>0</v>
      </c>
    </row>
    <row r="47" spans="1:8" ht="15.75" x14ac:dyDescent="0.25">
      <c r="A47" s="8" t="s">
        <v>39</v>
      </c>
      <c r="B47" s="4">
        <f>IF(B8=1,ROUND(+B14*$H$4/100,2),0)</f>
        <v>0</v>
      </c>
      <c r="C47" s="4">
        <f>IF(B8=2,ROUND(+C14*$H$4/100,2),0)</f>
        <v>0</v>
      </c>
      <c r="D47" s="4">
        <f>IF(B8=3,ROUND(+D14*$H$4/100,2),0)</f>
        <v>0</v>
      </c>
      <c r="E47" s="4">
        <f>IF(B8=4,ROUND(+E14*$H$4/100,2),0)</f>
        <v>0</v>
      </c>
      <c r="F47" s="4">
        <f>IF(B8=5,ROUND(+F14*$H$4/100,2),0)</f>
        <v>0</v>
      </c>
      <c r="G47" s="4">
        <f>IF(B8=6,ROUND(+G14*$H$4/100,2),0)</f>
        <v>0</v>
      </c>
      <c r="H47" s="4">
        <f>IF(B8=7,ROUND(+H14*$H$4/100,2),0)</f>
        <v>893.76</v>
      </c>
    </row>
    <row r="49" spans="1:9" ht="15.75" x14ac:dyDescent="0.25">
      <c r="A49" s="8" t="s">
        <v>40</v>
      </c>
      <c r="B49" s="4">
        <f>IF($B$8=1,+B47-((+B47-B46)*$H$6*0.01),0)</f>
        <v>0</v>
      </c>
      <c r="C49" s="4">
        <f>IF($B$8=2,+C47-((+C47-C46)*$H$6*0.01),0)</f>
        <v>0</v>
      </c>
      <c r="D49" s="4">
        <f>IF($B$8=3,+D47-((+D47-D46)*$H$6*0.01),0)</f>
        <v>0</v>
      </c>
      <c r="E49" s="4">
        <f>IF($B$8=4,+E47-((+E47-E46)*$H$6*0.01),0)</f>
        <v>0</v>
      </c>
      <c r="F49" s="4">
        <f>IF($B$8=5,+F47-((+F47-F46)*$H$6*0.01),0)</f>
        <v>0</v>
      </c>
      <c r="G49" s="4">
        <f>IF($B$8=6,+G47-((+G47-G46)*$H$6*0.01),0)</f>
        <v>0</v>
      </c>
      <c r="H49" s="4">
        <f>(H47-((H47-H46)*$H$6*0.01))</f>
        <v>893.76</v>
      </c>
    </row>
    <row r="51" spans="1:9" ht="15.75" x14ac:dyDescent="0.25">
      <c r="A51" s="8" t="s">
        <v>41</v>
      </c>
      <c r="B51" s="1">
        <f>ROUND(+H8*(1-H5*0.01),4)</f>
        <v>3</v>
      </c>
    </row>
    <row r="53" spans="1:9" ht="15.75" x14ac:dyDescent="0.25">
      <c r="B53" s="3"/>
      <c r="C53" s="8" t="s">
        <v>42</v>
      </c>
    </row>
    <row r="54" spans="1:9" ht="15.75" x14ac:dyDescent="0.25">
      <c r="B54" s="3"/>
      <c r="C54" s="8"/>
      <c r="I54" s="6" t="s">
        <v>43</v>
      </c>
    </row>
    <row r="55" spans="1:9" ht="15.75" x14ac:dyDescent="0.25">
      <c r="A55" s="17" t="s">
        <v>44</v>
      </c>
      <c r="B55" s="17" t="s">
        <v>45</v>
      </c>
      <c r="C55" s="17" t="str">
        <f>IF(B8&gt;=2,"Year 2","")</f>
        <v>Year 2</v>
      </c>
      <c r="D55" s="17" t="str">
        <f>IF(B8&gt;=3,"Year 3","")</f>
        <v>Year 3</v>
      </c>
      <c r="E55" s="17" t="str">
        <f>IF(B8&gt;=4,"Year 4","")</f>
        <v>Year 4</v>
      </c>
      <c r="F55" s="17" t="str">
        <f>IF(B8&gt;=5,"Year 5","")</f>
        <v>Year 5</v>
      </c>
      <c r="G55" s="17" t="str">
        <f>IF(B8&gt;=6,"Year 6","")</f>
        <v>Year 6</v>
      </c>
      <c r="H55" s="17" t="str">
        <f>IF(B8&gt;=7,"Year 7","")</f>
        <v>Year 7</v>
      </c>
      <c r="I55" s="9" t="s">
        <v>46</v>
      </c>
    </row>
    <row r="56" spans="1:9" x14ac:dyDescent="0.2">
      <c r="A56" s="34">
        <f>IF(B26=0,-B6,-D24)</f>
        <v>-1918.44</v>
      </c>
      <c r="B56" s="34">
        <f t="shared" ref="B56:H56" si="6">B44+B49</f>
        <v>404.46</v>
      </c>
      <c r="C56" s="34">
        <f t="shared" si="6"/>
        <v>155.22000000000003</v>
      </c>
      <c r="D56" s="34">
        <f t="shared" si="6"/>
        <v>120.2722</v>
      </c>
      <c r="E56" s="34">
        <f t="shared" si="6"/>
        <v>83.264921999999956</v>
      </c>
      <c r="F56" s="34">
        <f t="shared" si="6"/>
        <v>58.197571219999986</v>
      </c>
      <c r="G56" s="34">
        <f t="shared" si="6"/>
        <v>183.06954693219996</v>
      </c>
      <c r="H56" s="34">
        <f t="shared" si="6"/>
        <v>1219.8902424015218</v>
      </c>
      <c r="I56" s="34">
        <f>SUM(A92:H92)</f>
        <v>-2.7454436228708801E-3</v>
      </c>
    </row>
    <row r="58" spans="1:9" ht="15.75" x14ac:dyDescent="0.25">
      <c r="A58" s="11" t="s">
        <v>47</v>
      </c>
      <c r="B58" s="7"/>
      <c r="C58" s="7"/>
      <c r="D58" s="7"/>
      <c r="E58" s="7"/>
      <c r="F58" s="7"/>
      <c r="G58" s="7"/>
      <c r="H58" s="7"/>
      <c r="I58" s="7"/>
    </row>
    <row r="59" spans="1:9" ht="15.75" x14ac:dyDescent="0.25">
      <c r="A59" s="8" t="str">
        <f>IF(I56&lt;0,"The negative net present value indicates that the price of $"&amp;FIXED(B6,0,TRUE)&amp;" per head is too high.","The positive net present value indicates this is an economically feasible investment.")</f>
        <v>The negative net present value indicates that the price of $1918 per head is too high.</v>
      </c>
    </row>
    <row r="60" spans="1:9" ht="15.75" x14ac:dyDescent="0.25">
      <c r="A60" s="8" t="str">
        <f>"This investment has an internal rate of return of "&amp;FIXED(A84,1,TRUE)&amp;"%."</f>
        <v>This investment has an internal rate of return of 3.0%.</v>
      </c>
    </row>
    <row r="61" spans="1:9" ht="15.75" x14ac:dyDescent="0.25">
      <c r="A61" s="8" t="str">
        <f>IF(A82="No","This investment does not pay back over this planning horizon",B82)</f>
        <v>This investment has a payback period of seven years.</v>
      </c>
    </row>
    <row r="62" spans="1:9" ht="15.75" x14ac:dyDescent="0.25">
      <c r="A62" s="8" t="str">
        <f>IF(A86&lt;&gt;"feasible",B86,"The positive cash flows across the planning horizon indicate that this investment is financially feasible.")</f>
        <v>The positive cash flows across the planning horizon indicate that this investment is financially feasible.</v>
      </c>
    </row>
    <row r="81" spans="1:8" x14ac:dyDescent="0.2">
      <c r="A81" s="16" t="s">
        <v>48</v>
      </c>
    </row>
    <row r="82" spans="1:8" x14ac:dyDescent="0.2">
      <c r="A82" t="str">
        <f>IF(SUM(A56:B56)&gt;0,"one",IF(SUM(A56:C56)&gt;0,"two",IF(SUM(A56:D56)&gt;0,"three",IF(SUM(A56:E56)&gt;0,"four",IF(SUM(A56:F56)&gt;0,"five",IF(SUM(A56:G56)&gt;0,"six",IF(SUM(A56:H56)&gt;0,"seven","No")))))))</f>
        <v>seven</v>
      </c>
      <c r="B82" t="str">
        <f>"This investment has a payback period of "&amp;A82&amp;" years."</f>
        <v>This investment has a payback period of seven years.</v>
      </c>
    </row>
    <row r="83" spans="1:8" x14ac:dyDescent="0.2">
      <c r="A83">
        <f>SUM(B56:H56)/B6</f>
        <v>1.1594704460674934</v>
      </c>
    </row>
    <row r="84" spans="1:8" x14ac:dyDescent="0.2">
      <c r="A84">
        <f>ROUND(IRR(A56:H56,+A83),3)*100</f>
        <v>3</v>
      </c>
    </row>
    <row r="86" spans="1:8" x14ac:dyDescent="0.2">
      <c r="A86" t="str">
        <f>IF(B44&lt;0,"one",IF(C44&lt;0,"two",IF(D44&lt;0,"three",IF(E44&lt;0,"four",IF(F44&lt;0,"five",IF(G44&lt;0,"six",IF(E44&lt;0,"seven","feasible")))))))</f>
        <v>feasible</v>
      </c>
      <c r="B86" t="str">
        <f>"This investment may not be financially feasible due to negative cash flow in year "&amp;A86&amp;"."</f>
        <v>This investment may not be financially feasible due to negative cash flow in year feasible.</v>
      </c>
    </row>
    <row r="89" spans="1:8" x14ac:dyDescent="0.2">
      <c r="B89" s="12">
        <f>IF(B26&gt;=1,ROUND(PPMT(B28*0.01,1,B26,-(((1-B24*0.01)*B6))),2),0)</f>
        <v>0</v>
      </c>
      <c r="C89" s="12">
        <f>IF(B26&gt;=2,ROUND(PPMT(B28*0.01,2,B26,-(((1-B24*0.01)*B6))),2),0)</f>
        <v>0</v>
      </c>
      <c r="D89" s="12">
        <f>IF(B26&gt;=3,ROUND(PPMT(B28*0.01,3,B26,-(((1-B24*0.01)*B6))),2),0)</f>
        <v>0</v>
      </c>
      <c r="E89" s="12">
        <f>IF(B26&gt;=4,ROUND(PPMT(B28*0.01,4,B26,-(((1-B24*0.01)*B6))),2),0)</f>
        <v>0</v>
      </c>
      <c r="F89" s="12">
        <f>IF(B26&gt;=5,ROUND(PPMT(B28*0.01,5,B26,-(((1-B24*0.01)*B6))),2),0)</f>
        <v>0</v>
      </c>
      <c r="G89" s="12">
        <f>IF(B26&gt;=6,ROUND(PPMT(B28*0.01,6,B26,-(((1-B24*0.01)*B6))),2),0)</f>
        <v>0</v>
      </c>
      <c r="H89" s="12">
        <f>IF(B26&gt;=7,ROUND(PPMT(B28*0.01,7,B26,-(((1-B24*0.01)*B6))),2),0)</f>
        <v>0</v>
      </c>
    </row>
    <row r="92" spans="1:8" x14ac:dyDescent="0.2">
      <c r="A92" s="4">
        <f>+A56</f>
        <v>-1918.44</v>
      </c>
      <c r="B92">
        <f>(B56/(1+($B$51/100)))</f>
        <v>392.67961165048541</v>
      </c>
      <c r="C92">
        <f>(C56/(1+($B$51/100))^2)</f>
        <v>146.30973701574138</v>
      </c>
      <c r="D92">
        <f>(D56/(1+($B$51/100))^3)</f>
        <v>110.06610068205508</v>
      </c>
      <c r="E92">
        <f>(E56/(1+($B$51/100))^4)</f>
        <v>73.979804742710073</v>
      </c>
      <c r="F92">
        <f>(F56/(1+($B$51/100))^5)</f>
        <v>50.201736164195005</v>
      </c>
      <c r="G92">
        <f>(G56/(1+($B$51/100))^6)</f>
        <v>153.31786343392687</v>
      </c>
      <c r="H92">
        <f>(H56/(1+($B$51/100))^7)</f>
        <v>991.88240086726353</v>
      </c>
    </row>
  </sheetData>
  <phoneticPr fontId="0" type="noConversion"/>
  <pageMargins left="0.5" right="0.5" top="0.5" bottom="0.7" header="0.5" footer="0.5"/>
  <pageSetup scale="71" orientation="portrait" horizontalDpi="300" verticalDpi="300" r:id="rId1"/>
  <headerFooter alignWithMargins="0">
    <oddFooter>&amp;LFilename &amp;F&amp;C&amp;D , &amp;T&amp;RReport Page 1 of 1</oddFooter>
  </headerFooter>
  <rowBreaks count="2" manualBreakCount="2">
    <brk max="65535" man="1"/>
    <brk id="63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Cow Bid Price</vt:lpstr>
      <vt:lpstr>BID</vt:lpstr>
      <vt:lpstr>'Cow Bid Price'!Print_Area</vt:lpstr>
      <vt:lpstr>PRINT1</vt:lpstr>
    </vt:vector>
  </TitlesOfParts>
  <Company>Texas A&amp;M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McGrann</dc:creator>
  <cp:lastModifiedBy>Karen Thompson</cp:lastModifiedBy>
  <cp:lastPrinted>2013-02-01T16:28:40Z</cp:lastPrinted>
  <dcterms:created xsi:type="dcterms:W3CDTF">1997-08-13T22:02:52Z</dcterms:created>
  <dcterms:modified xsi:type="dcterms:W3CDTF">2013-02-01T17:18:14Z</dcterms:modified>
</cp:coreProperties>
</file>